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288" documentId="13_ncr:1_{136E18D3-4AB7-4FF5-BBEC-C4743EF952CC}" xr6:coauthVersionLast="47" xr6:coauthVersionMax="47" xr10:uidLastSave="{05056593-F3DD-4740-B982-E34FBF942C8D}"/>
  <workbookProtection workbookAlgorithmName="SHA-512" workbookHashValue="yU3J2clwWz30Zb/lyE67ujeHRAeBkahEtcY/IjA6ejF/K960Rmi7awVLkPrzvsa/OQUUpAE/ygTMu2r4mdo2FA==" workbookSaltValue="MJvUsR0zppi+wXhwAzi/xQ==" workbookSpinCount="100000" lockStructure="1"/>
  <bookViews>
    <workbookView xWindow="3120" yWindow="3120" windowWidth="21600" windowHeight="11385" xr2:uid="{00000000-000D-0000-FFFF-FFFF00000000}"/>
  </bookViews>
  <sheets>
    <sheet name="POH-S" sheetId="1" r:id="rId1"/>
    <sheet name="rekenblad POH-s" sheetId="2" state="hidden" r:id="rId2"/>
    <sheet name="Nvko" sheetId="5" r:id="rId3"/>
    <sheet name="Versiebehee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6" i="5"/>
  <c r="I14" i="5"/>
  <c r="I11" i="5"/>
  <c r="I10" i="5"/>
  <c r="I8" i="5"/>
  <c r="H14" i="5"/>
  <c r="H10" i="5"/>
  <c r="H8" i="5"/>
  <c r="B6" i="2"/>
  <c r="B7" i="2"/>
  <c r="B8" i="5" l="1"/>
  <c r="G19" i="2"/>
  <c r="G18" i="2" s="1"/>
  <c r="H18" i="2" s="1"/>
  <c r="G11" i="5" l="1"/>
  <c r="H11" i="5" l="1"/>
  <c r="G12" i="5"/>
  <c r="B10" i="2"/>
  <c r="B11" i="2"/>
  <c r="B7" i="5" l="1"/>
  <c r="D11" i="5" s="1"/>
  <c r="B9" i="2"/>
  <c r="B8" i="2" l="1"/>
  <c r="E20" i="2" s="1"/>
  <c r="E19" i="2"/>
  <c r="B15" i="2"/>
  <c r="B14" i="2"/>
  <c r="B16" i="2"/>
  <c r="C15" i="2"/>
  <c r="D23" i="2" s="1"/>
  <c r="C14" i="2"/>
  <c r="D15" i="2"/>
  <c r="D14" i="2"/>
  <c r="D16" i="2"/>
  <c r="E15" i="2"/>
  <c r="E14" i="2"/>
  <c r="E16" i="2"/>
  <c r="C16" i="2"/>
  <c r="B23" i="2" l="1"/>
  <c r="C23" i="2" s="1"/>
  <c r="E23" i="2" s="1"/>
  <c r="B22" i="2"/>
  <c r="C22" i="2" s="1"/>
  <c r="E21" i="2"/>
  <c r="B25" i="2"/>
  <c r="D25" i="2" s="1"/>
  <c r="B24" i="2"/>
  <c r="D24" i="2" s="1"/>
  <c r="D26" i="2"/>
  <c r="E26" i="2" s="1"/>
  <c r="D22" i="2" l="1"/>
  <c r="E22" i="2" s="1"/>
  <c r="C24" i="2"/>
  <c r="E24" i="2" s="1"/>
  <c r="C25" i="2"/>
  <c r="E25" i="2" s="1"/>
  <c r="D27" i="2" l="1"/>
  <c r="C27" i="2"/>
  <c r="E27" i="2"/>
  <c r="E30" i="2" l="1"/>
  <c r="E29" i="2"/>
  <c r="E18" i="1" l="1"/>
</calcChain>
</file>

<file path=xl/sharedStrings.xml><?xml version="1.0" encoding="utf-8"?>
<sst xmlns="http://schemas.openxmlformats.org/spreadsheetml/2006/main" count="111" uniqueCount="78">
  <si>
    <t>POH-S</t>
  </si>
  <si>
    <t>Benodigde parameters</t>
  </si>
  <si>
    <t>Aantal uren POH S huisartsenpraktijk</t>
  </si>
  <si>
    <t>Aantal patiënten huisartsenpraktijk</t>
  </si>
  <si>
    <t>Aantal ingeschreven verzekerden 75+</t>
  </si>
  <si>
    <t>Vergoeding POH per jaar</t>
  </si>
  <si>
    <t>Normpraktijk</t>
  </si>
  <si>
    <t>Vragenlijst</t>
  </si>
  <si>
    <t>DM II</t>
  </si>
  <si>
    <t>COPD</t>
  </si>
  <si>
    <t>ASTMA</t>
  </si>
  <si>
    <t>CVRM</t>
  </si>
  <si>
    <t>Levert uw praktijk chronische ketenzorg?</t>
  </si>
  <si>
    <t>ja</t>
  </si>
  <si>
    <t>Indien nee, geen vervolg vragen</t>
  </si>
  <si>
    <t>Hoe wordt de chronische zorg geleverd?</t>
  </si>
  <si>
    <t>KZF</t>
  </si>
  <si>
    <t>Dokterscoop</t>
  </si>
  <si>
    <t>In eigen beheer</t>
  </si>
  <si>
    <t>Aantal patiënten</t>
  </si>
  <si>
    <t>Berekening</t>
  </si>
  <si>
    <t>Parameter</t>
  </si>
  <si>
    <t>Via ketenzorg</t>
  </si>
  <si>
    <t>Totaal</t>
  </si>
  <si>
    <t>Uren contract POH-S</t>
  </si>
  <si>
    <t>POH-S in dienst</t>
  </si>
  <si>
    <t>Astma</t>
  </si>
  <si>
    <t>Basis 2,5 uur per normpraktijk</t>
  </si>
  <si>
    <t>Uren vergoeding POH-S</t>
  </si>
  <si>
    <t>Tarief per verzekerde per kwartaal</t>
  </si>
  <si>
    <t>tabel 1: uren voor berekening</t>
  </si>
  <si>
    <t>Catena</t>
  </si>
  <si>
    <t>tabel 2 keuze ja/nee</t>
  </si>
  <si>
    <t>nee</t>
  </si>
  <si>
    <t>tabel 3 ketenzorgorganisatie of eigen beheer</t>
  </si>
  <si>
    <t>Omschrijving</t>
  </si>
  <si>
    <t>patiënten</t>
  </si>
  <si>
    <t>Patiënten praktijk</t>
  </si>
  <si>
    <t>Berekend tarief per kwartaal per patiënt</t>
  </si>
  <si>
    <t>euro</t>
  </si>
  <si>
    <t>Aantal 75-plussers</t>
  </si>
  <si>
    <t>Levert uw praktijk chronische ketenzorg? Indien nee, geen vervolg vragen</t>
  </si>
  <si>
    <t>Deelname en aantal patiënten</t>
  </si>
  <si>
    <t>Netwerkzorg voor kwetsbare ouderen</t>
  </si>
  <si>
    <t>Tarief per ingeschreven kwetsbare oudere per jaar</t>
  </si>
  <si>
    <t>Deelname prestatie Netwerkzorg voor kwetsbare ouderen</t>
  </si>
  <si>
    <t>per ingeschreven 75-plusser per jaar</t>
  </si>
  <si>
    <t>per ingeschreven kwetsbare oudere per jaar</t>
  </si>
  <si>
    <t>uren POH-S per week per 100 75+ers</t>
  </si>
  <si>
    <t>werkbare weken</t>
  </si>
  <si>
    <t>ALS(B8="ja";(-B9*1,52)/43,42;0)</t>
  </si>
  <si>
    <t>Als huisarts deelneemt aan PIO dan: Aantal 75+ers x (1,52 uren POH-S per jaar per 75+er / 43,42 werkweken per jaar)= Aantal uren korting op POH-S per week voor deze praktijk</t>
  </si>
  <si>
    <t>SOM(E19:E20)</t>
  </si>
  <si>
    <t>bv Catena: (1,42 uren per patient per jaar x aantal patienten van de praktijk in keten) / 43,42 werkbare weken per jaar = aantal uren POH-S per week voor deze praktijk</t>
  </si>
  <si>
    <t>ALS(E27&gt;=E21;((((E21-C27)/38)*B10)/B7/4);0)</t>
  </si>
  <si>
    <t>Als max-vergoede uren hoger is dan uren in dienst minus uren PIO, dan uitgaan van uren in dienst minus uren PIO minus uren ketenzorg via zorggroepen -&gt; (((Uren in dienst - uren PIO) / aantal normuren per week) x Vergoeding POH-S per jr) /aantal ingeschreven verzekerden / 4 kwartalen</t>
  </si>
  <si>
    <t>ALS(E21&gt;E27;(((E27-C27)/38)*B10/B7/4);0)</t>
  </si>
  <si>
    <t>Als max-vergoede uren lager is dan uren in dienst minus uren PIO, dan uitgaan van vergoeding van 2,5 uren voor basiszorg + uren ketenzorg in eigen beheer -&gt; (2,5 basisuren+ uren eigen beheer / aantal normuren per week x Vergoeding POH-S per jr) /aantal ingeschreven verzekerden / 4 kwartalen</t>
  </si>
  <si>
    <t>Aantal uren POH-S per patient in de keten per jaar</t>
  </si>
  <si>
    <t>Uren nvko</t>
  </si>
  <si>
    <t>Percentage kwetsbare ouderen</t>
  </si>
  <si>
    <t>Maakt u gebruik van een gemeenschappelijk digitaal platform (deze vergoeding mag u max. 2 jaar ontvangen)?</t>
  </si>
  <si>
    <t>Ja</t>
  </si>
  <si>
    <t>Nee</t>
  </si>
  <si>
    <t>Variabelen</t>
  </si>
  <si>
    <t>Parameters</t>
  </si>
  <si>
    <t>Uitkomst</t>
  </si>
  <si>
    <t>Eenheid</t>
  </si>
  <si>
    <t>U kunt deze rekentool enkel gebruiken indien u in 2021 een contract met De Friesland had</t>
  </si>
  <si>
    <t>Versie</t>
  </si>
  <si>
    <t>Wijziging</t>
  </si>
  <si>
    <t>Datum</t>
  </si>
  <si>
    <t xml:space="preserve">Rekentool 2023, behorende bij beleidskeuze De Friesland 2021 </t>
  </si>
  <si>
    <t>Tarieven geïndexeerd voor 2023.</t>
  </si>
  <si>
    <t>Tariefindexatie aangepast aan TB/REG-23617-03 (MEV-23)</t>
  </si>
  <si>
    <t>geindexeerd 2023</t>
  </si>
  <si>
    <t>geindexeerd MEV23</t>
  </si>
  <si>
    <t>Versie 2 - 5 oktober 2022. Aan deze rekentool kunnen geen rechten worden ontleend.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</si>
</sst>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0.0000000"/>
    <numFmt numFmtId="167" formatCode="0.000%"/>
    <numFmt numFmtId="168" formatCode="_ * #,##0.000_ ;_ * \-#,##0.000_ ;_ * &quot;-&quot;??_ ;_ @_ "/>
    <numFmt numFmtId="169" formatCode="_ * #,##0.0_ ;_ * \-#,##0.0_ ;_ * &quot;-&quot;???_ ;_ @_ 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FBCBC"/>
      <name val="Calibri"/>
      <family val="2"/>
      <scheme val="minor"/>
    </font>
    <font>
      <b/>
      <i/>
      <sz val="11"/>
      <color rgb="FF2FBCBC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1E9E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3" fillId="3" borderId="0" xfId="0" applyFont="1" applyFill="1" applyProtection="1"/>
    <xf numFmtId="0" fontId="0" fillId="3" borderId="0" xfId="0" applyFill="1" applyProtection="1"/>
    <xf numFmtId="0" fontId="14" fillId="3" borderId="0" xfId="0" applyFont="1" applyFill="1" applyProtection="1"/>
    <xf numFmtId="0" fontId="0" fillId="3" borderId="0" xfId="0" applyFont="1" applyFill="1" applyProtection="1"/>
    <xf numFmtId="44" fontId="0" fillId="3" borderId="0" xfId="1" applyFont="1" applyFill="1" applyProtection="1"/>
    <xf numFmtId="0" fontId="4" fillId="3" borderId="0" xfId="0" applyFont="1" applyFill="1" applyProtection="1"/>
    <xf numFmtId="165" fontId="0" fillId="3" borderId="16" xfId="2" applyNumberFormat="1" applyFont="1" applyFill="1" applyBorder="1" applyProtection="1"/>
    <xf numFmtId="0" fontId="0" fillId="3" borderId="17" xfId="0" applyFill="1" applyBorder="1" applyProtection="1"/>
    <xf numFmtId="165" fontId="0" fillId="3" borderId="17" xfId="2" applyNumberFormat="1" applyFont="1" applyFill="1" applyBorder="1" applyProtection="1"/>
    <xf numFmtId="0" fontId="0" fillId="3" borderId="16" xfId="0" applyFont="1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0" fontId="5" fillId="3" borderId="16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Protection="1"/>
    <xf numFmtId="0" fontId="3" fillId="3" borderId="18" xfId="0" applyFont="1" applyFill="1" applyBorder="1" applyProtection="1"/>
    <xf numFmtId="0" fontId="7" fillId="3" borderId="13" xfId="0" applyFont="1" applyFill="1" applyBorder="1" applyAlignment="1" applyProtection="1">
      <alignment horizontal="right" vertical="center"/>
    </xf>
    <xf numFmtId="0" fontId="7" fillId="3" borderId="28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vertical="center" wrapText="1"/>
    </xf>
    <xf numFmtId="0" fontId="7" fillId="3" borderId="15" xfId="0" applyFont="1" applyFill="1" applyBorder="1" applyProtection="1"/>
    <xf numFmtId="0" fontId="0" fillId="3" borderId="28" xfId="0" applyFont="1" applyFill="1" applyBorder="1" applyProtection="1"/>
    <xf numFmtId="0" fontId="3" fillId="3" borderId="28" xfId="0" applyFont="1" applyFill="1" applyBorder="1" applyProtection="1"/>
    <xf numFmtId="0" fontId="3" fillId="3" borderId="0" xfId="0" applyFont="1" applyFill="1" applyBorder="1" applyProtection="1"/>
    <xf numFmtId="9" fontId="0" fillId="3" borderId="0" xfId="3" applyFont="1" applyFill="1" applyProtection="1"/>
    <xf numFmtId="0" fontId="0" fillId="3" borderId="22" xfId="0" applyFill="1" applyBorder="1" applyProtection="1"/>
    <xf numFmtId="0" fontId="0" fillId="3" borderId="18" xfId="0" applyFill="1" applyBorder="1" applyProtection="1"/>
    <xf numFmtId="0" fontId="0" fillId="3" borderId="18" xfId="0" applyFont="1" applyFill="1" applyBorder="1" applyProtection="1"/>
    <xf numFmtId="0" fontId="0" fillId="3" borderId="23" xfId="0" applyFont="1" applyFill="1" applyBorder="1" applyProtection="1"/>
    <xf numFmtId="0" fontId="0" fillId="3" borderId="24" xfId="0" applyFont="1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Protection="1"/>
    <xf numFmtId="166" fontId="0" fillId="3" borderId="0" xfId="0" applyNumberFormat="1" applyFill="1" applyBorder="1" applyProtection="1"/>
    <xf numFmtId="43" fontId="0" fillId="3" borderId="0" xfId="2" applyFont="1" applyFill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/>
    </xf>
    <xf numFmtId="0" fontId="6" fillId="0" borderId="1" xfId="0" applyFont="1" applyBorder="1" applyProtection="1"/>
    <xf numFmtId="0" fontId="3" fillId="0" borderId="0" xfId="0" applyFont="1" applyProtection="1"/>
    <xf numFmtId="0" fontId="5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/>
    </xf>
    <xf numFmtId="0" fontId="3" fillId="0" borderId="1" xfId="0" applyFont="1" applyBorder="1" applyProtection="1"/>
    <xf numFmtId="1" fontId="3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Protection="1"/>
    <xf numFmtId="0" fontId="0" fillId="0" borderId="1" xfId="0" applyFont="1" applyBorder="1" applyProtection="1"/>
    <xf numFmtId="2" fontId="3" fillId="0" borderId="1" xfId="0" applyNumberFormat="1" applyFont="1" applyBorder="1" applyProtection="1"/>
    <xf numFmtId="0" fontId="2" fillId="0" borderId="1" xfId="0" applyFont="1" applyBorder="1" applyProtection="1"/>
    <xf numFmtId="0" fontId="8" fillId="0" borderId="1" xfId="0" applyFont="1" applyFill="1" applyBorder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Protection="1"/>
    <xf numFmtId="0" fontId="10" fillId="0" borderId="1" xfId="0" applyFont="1" applyBorder="1" applyProtection="1"/>
    <xf numFmtId="2" fontId="7" fillId="0" borderId="1" xfId="0" applyNumberFormat="1" applyFont="1" applyBorder="1" applyAlignment="1" applyProtection="1">
      <alignment horizontal="right"/>
    </xf>
    <xf numFmtId="0" fontId="7" fillId="0" borderId="4" xfId="0" applyFont="1" applyBorder="1" applyProtection="1"/>
    <xf numFmtId="0" fontId="0" fillId="0" borderId="5" xfId="0" applyFont="1" applyBorder="1" applyProtection="1"/>
    <xf numFmtId="0" fontId="3" fillId="0" borderId="5" xfId="0" applyFont="1" applyBorder="1" applyProtection="1"/>
    <xf numFmtId="2" fontId="11" fillId="4" borderId="6" xfId="0" applyNumberFormat="1" applyFont="1" applyFill="1" applyBorder="1" applyAlignment="1" applyProtection="1">
      <alignment horizontal="right"/>
    </xf>
    <xf numFmtId="0" fontId="12" fillId="0" borderId="7" xfId="0" applyFont="1" applyBorder="1" applyProtection="1"/>
    <xf numFmtId="0" fontId="0" fillId="0" borderId="8" xfId="0" applyFont="1" applyBorder="1" applyProtection="1"/>
    <xf numFmtId="0" fontId="3" fillId="0" borderId="8" xfId="0" applyFont="1" applyBorder="1" applyProtection="1"/>
    <xf numFmtId="2" fontId="11" fillId="4" borderId="9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2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2" fontId="5" fillId="0" borderId="8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3" fillId="0" borderId="0" xfId="0" applyNumberFormat="1" applyFont="1" applyProtection="1"/>
    <xf numFmtId="2" fontId="9" fillId="0" borderId="1" xfId="0" applyNumberFormat="1" applyFont="1" applyFill="1" applyBorder="1" applyAlignment="1" applyProtection="1">
      <alignment horizontal="right"/>
    </xf>
    <xf numFmtId="2" fontId="5" fillId="5" borderId="1" xfId="0" applyNumberFormat="1" applyFont="1" applyFill="1" applyBorder="1" applyAlignment="1" applyProtection="1">
      <alignment horizontal="right"/>
    </xf>
    <xf numFmtId="0" fontId="0" fillId="3" borderId="30" xfId="0" applyFill="1" applyBorder="1" applyProtection="1"/>
    <xf numFmtId="0" fontId="0" fillId="3" borderId="32" xfId="0" applyFont="1" applyFill="1" applyBorder="1" applyProtection="1"/>
    <xf numFmtId="0" fontId="0" fillId="3" borderId="31" xfId="0" applyFill="1" applyBorder="1" applyProtection="1"/>
    <xf numFmtId="165" fontId="0" fillId="0" borderId="31" xfId="2" applyNumberFormat="1" applyFont="1" applyFill="1" applyBorder="1" applyAlignment="1" applyProtection="1">
      <alignment horizontal="right"/>
      <protection locked="0"/>
    </xf>
    <xf numFmtId="164" fontId="5" fillId="6" borderId="1" xfId="1" applyNumberFormat="1" applyFont="1" applyFill="1" applyBorder="1" applyAlignment="1" applyProtection="1">
      <alignment horizontal="right"/>
    </xf>
    <xf numFmtId="167" fontId="3" fillId="3" borderId="0" xfId="3" applyNumberFormat="1" applyFont="1" applyFill="1" applyBorder="1" applyProtection="1"/>
    <xf numFmtId="167" fontId="3" fillId="3" borderId="0" xfId="3" applyNumberFormat="1" applyFont="1" applyFill="1" applyProtection="1"/>
    <xf numFmtId="0" fontId="3" fillId="3" borderId="3" xfId="0" applyFont="1" applyFill="1" applyBorder="1" applyAlignment="1">
      <alignment horizontal="right"/>
    </xf>
    <xf numFmtId="168" fontId="2" fillId="0" borderId="0" xfId="0" applyNumberFormat="1" applyFont="1"/>
    <xf numFmtId="169" fontId="2" fillId="0" borderId="0" xfId="0" applyNumberFormat="1" applyFont="1"/>
    <xf numFmtId="43" fontId="2" fillId="0" borderId="0" xfId="2" applyFont="1" applyProtection="1"/>
    <xf numFmtId="0" fontId="2" fillId="0" borderId="0" xfId="0" applyFont="1"/>
    <xf numFmtId="44" fontId="2" fillId="0" borderId="0" xfId="1" applyFont="1" applyProtection="1"/>
    <xf numFmtId="44" fontId="2" fillId="0" borderId="0" xfId="0" applyNumberFormat="1" applyFont="1"/>
    <xf numFmtId="2" fontId="2" fillId="0" borderId="0" xfId="0" applyNumberFormat="1" applyFont="1"/>
    <xf numFmtId="170" fontId="2" fillId="0" borderId="0" xfId="3" applyNumberFormat="1" applyFont="1" applyProtection="1"/>
    <xf numFmtId="164" fontId="0" fillId="0" borderId="0" xfId="0" applyNumberFormat="1" applyProtection="1"/>
    <xf numFmtId="2" fontId="13" fillId="0" borderId="25" xfId="2" quotePrefix="1" applyNumberFormat="1" applyFont="1" applyFill="1" applyBorder="1" applyProtection="1"/>
    <xf numFmtId="2" fontId="7" fillId="0" borderId="14" xfId="0" applyNumberFormat="1" applyFont="1" applyFill="1" applyBorder="1" applyAlignment="1" applyProtection="1">
      <alignment horizontal="right"/>
    </xf>
    <xf numFmtId="165" fontId="0" fillId="3" borderId="31" xfId="2" applyNumberFormat="1" applyFont="1" applyFill="1" applyBorder="1" applyProtection="1"/>
    <xf numFmtId="0" fontId="0" fillId="3" borderId="30" xfId="0" applyFill="1" applyBorder="1" applyAlignment="1" applyProtection="1">
      <alignment vertical="top" wrapText="1"/>
    </xf>
    <xf numFmtId="0" fontId="15" fillId="3" borderId="0" xfId="0" applyFont="1" applyFill="1" applyProtection="1"/>
    <xf numFmtId="0" fontId="16" fillId="3" borderId="13" xfId="0" applyFont="1" applyFill="1" applyBorder="1" applyProtection="1"/>
    <xf numFmtId="0" fontId="16" fillId="3" borderId="15" xfId="0" applyFont="1" applyFill="1" applyBorder="1" applyProtection="1"/>
    <xf numFmtId="44" fontId="5" fillId="7" borderId="24" xfId="1" applyNumberFormat="1" applyFont="1" applyFill="1" applyBorder="1" applyAlignment="1" applyProtection="1">
      <alignment horizontal="right"/>
    </xf>
    <xf numFmtId="165" fontId="3" fillId="7" borderId="27" xfId="2" applyNumberFormat="1" applyFont="1" applyFill="1" applyBorder="1" applyAlignment="1" applyProtection="1">
      <alignment horizontal="right"/>
    </xf>
    <xf numFmtId="165" fontId="3" fillId="8" borderId="26" xfId="2" applyNumberFormat="1" applyFont="1" applyFill="1" applyBorder="1" applyAlignment="1" applyProtection="1">
      <alignment horizontal="right"/>
      <protection locked="0"/>
    </xf>
    <xf numFmtId="165" fontId="3" fillId="8" borderId="24" xfId="2" applyNumberFormat="1" applyFont="1" applyFill="1" applyBorder="1" applyAlignment="1" applyProtection="1">
      <alignment horizontal="right"/>
      <protection locked="0"/>
    </xf>
    <xf numFmtId="0" fontId="3" fillId="8" borderId="16" xfId="0" applyFont="1" applyFill="1" applyBorder="1" applyAlignment="1" applyProtection="1">
      <alignment horizontal="right"/>
      <protection locked="0"/>
    </xf>
    <xf numFmtId="0" fontId="3" fillId="8" borderId="8" xfId="0" applyFont="1" applyFill="1" applyBorder="1" applyAlignment="1" applyProtection="1">
      <alignment horizontal="right"/>
      <protection locked="0"/>
    </xf>
    <xf numFmtId="0" fontId="3" fillId="8" borderId="23" xfId="0" applyFont="1" applyFill="1" applyBorder="1" applyAlignment="1" applyProtection="1">
      <alignment horizontal="right"/>
      <protection locked="0"/>
    </xf>
    <xf numFmtId="0" fontId="3" fillId="8" borderId="17" xfId="0" applyFont="1" applyFill="1" applyBorder="1" applyAlignment="1" applyProtection="1">
      <alignment horizontal="right"/>
      <protection locked="0"/>
    </xf>
    <xf numFmtId="0" fontId="3" fillId="8" borderId="10" xfId="0" applyFont="1" applyFill="1" applyBorder="1" applyAlignment="1" applyProtection="1">
      <alignment horizontal="right"/>
      <protection locked="0"/>
    </xf>
    <xf numFmtId="0" fontId="3" fillId="8" borderId="24" xfId="0" applyFont="1" applyFill="1" applyBorder="1" applyAlignment="1" applyProtection="1">
      <alignment horizontal="right"/>
      <protection locked="0"/>
    </xf>
    <xf numFmtId="0" fontId="3" fillId="8" borderId="18" xfId="0" applyFont="1" applyFill="1" applyBorder="1" applyProtection="1">
      <protection locked="0"/>
    </xf>
    <xf numFmtId="0" fontId="3" fillId="8" borderId="29" xfId="0" applyFont="1" applyFill="1" applyBorder="1" applyProtection="1">
      <protection locked="0"/>
    </xf>
    <xf numFmtId="0" fontId="3" fillId="8" borderId="25" xfId="0" applyFont="1" applyFill="1" applyBorder="1" applyProtection="1">
      <protection locked="0"/>
    </xf>
    <xf numFmtId="9" fontId="0" fillId="7" borderId="31" xfId="3" applyFont="1" applyFill="1" applyBorder="1" applyProtection="1"/>
    <xf numFmtId="43" fontId="0" fillId="7" borderId="16" xfId="2" applyFont="1" applyFill="1" applyBorder="1" applyProtection="1"/>
    <xf numFmtId="165" fontId="0" fillId="8" borderId="17" xfId="2" applyNumberFormat="1" applyFont="1" applyFill="1" applyBorder="1" applyAlignment="1" applyProtection="1">
      <alignment horizontal="right"/>
      <protection locked="0"/>
    </xf>
    <xf numFmtId="165" fontId="0" fillId="8" borderId="31" xfId="2" applyNumberFormat="1" applyFont="1" applyFill="1" applyBorder="1" applyAlignment="1" applyProtection="1">
      <alignment horizontal="right"/>
      <protection locked="0"/>
    </xf>
    <xf numFmtId="0" fontId="16" fillId="3" borderId="13" xfId="0" applyFont="1" applyFill="1" applyBorder="1" applyAlignment="1" applyProtection="1">
      <alignment horizontal="right"/>
    </xf>
    <xf numFmtId="0" fontId="16" fillId="3" borderId="19" xfId="0" applyFont="1" applyFill="1" applyBorder="1" applyAlignment="1" applyProtection="1">
      <alignment horizontal="right"/>
    </xf>
    <xf numFmtId="0" fontId="16" fillId="3" borderId="13" xfId="0" applyFont="1" applyFill="1" applyBorder="1" applyAlignment="1" applyProtection="1"/>
    <xf numFmtId="0" fontId="17" fillId="3" borderId="0" xfId="0" applyFont="1" applyFill="1" applyProtection="1"/>
    <xf numFmtId="0" fontId="8" fillId="3" borderId="0" xfId="0" applyFont="1" applyFill="1" applyProtection="1"/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 wrapText="1"/>
    </xf>
    <xf numFmtId="16" fontId="5" fillId="3" borderId="16" xfId="0" applyNumberFormat="1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left"/>
    </xf>
    <xf numFmtId="16" fontId="5" fillId="3" borderId="17" xfId="0" applyNumberFormat="1" applyFont="1" applyFill="1" applyBorder="1" applyAlignment="1" applyProtection="1">
      <alignment horizontal="left" vertical="center" wrapText="1"/>
    </xf>
    <xf numFmtId="0" fontId="0" fillId="3" borderId="0" xfId="0" applyFill="1"/>
  </cellXfs>
  <cellStyles count="4">
    <cellStyle name="Komma" xfId="2" builtinId="3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A1E9E7"/>
      <color rgb="FF8DE5E3"/>
      <color rgb="FF2F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817542</xdr:colOff>
      <xdr:row>0</xdr:row>
      <xdr:rowOff>0</xdr:rowOff>
    </xdr:from>
    <xdr:to>
      <xdr:col>4</xdr:col>
      <xdr:colOff>850030</xdr:colOff>
      <xdr:row>3</xdr:row>
      <xdr:rowOff>52887</xdr:rowOff>
    </xdr:to>
    <xdr:pic>
      <xdr:nvPicPr>
        <xdr:cNvPr id="2" name="Afbeelding 1" descr="De Friesland zorgverzekering 2022 - ZorgverzekeringWijzer.nl">
          <a:extLst>
            <a:ext uri="{FF2B5EF4-FFF2-40B4-BE49-F238E27FC236}">
              <a16:creationId xmlns:a16="http://schemas.microsoft.com/office/drawing/2014/main" id="{4698D205-1F8F-4022-B026-A42B1A9C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564" y="0"/>
          <a:ext cx="1299727" cy="72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1085022</xdr:colOff>
      <xdr:row>2</xdr:row>
      <xdr:rowOff>164411</xdr:rowOff>
    </xdr:from>
    <xdr:to>
      <xdr:col>4</xdr:col>
      <xdr:colOff>848150</xdr:colOff>
      <xdr:row>4</xdr:row>
      <xdr:rowOff>91109</xdr:rowOff>
    </xdr:to>
    <xdr:pic>
      <xdr:nvPicPr>
        <xdr:cNvPr id="3" name="Afbeelding 2" descr="Mijn Zilveren Kruis - Zilveren Kruis">
          <a:extLst>
            <a:ext uri="{FF2B5EF4-FFF2-40B4-BE49-F238E27FC236}">
              <a16:creationId xmlns:a16="http://schemas.microsoft.com/office/drawing/2014/main" id="{228F92DD-8AFF-4475-89DB-1B6E2EAE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872" y="640661"/>
          <a:ext cx="1029953" cy="317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0</xdr:row>
      <xdr:rowOff>28575</xdr:rowOff>
    </xdr:from>
    <xdr:to>
      <xdr:col>4</xdr:col>
      <xdr:colOff>594877</xdr:colOff>
      <xdr:row>2</xdr:row>
      <xdr:rowOff>49364</xdr:rowOff>
    </xdr:to>
    <xdr:pic>
      <xdr:nvPicPr>
        <xdr:cNvPr id="2" name="Afbeelding 1" descr="De Friesland zorgverzekering 2022 - ZorgverzekeringWijzer.nl">
          <a:extLst>
            <a:ext uri="{FF2B5EF4-FFF2-40B4-BE49-F238E27FC236}">
              <a16:creationId xmlns:a16="http://schemas.microsoft.com/office/drawing/2014/main" id="{A1E03CEA-0774-48D4-8115-164833775D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/>
        <a:stretch/>
      </xdr:blipFill>
      <xdr:spPr bwMode="auto">
        <a:xfrm>
          <a:off x="5514975" y="28575"/>
          <a:ext cx="1099702" cy="497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1</xdr:row>
      <xdr:rowOff>206652</xdr:rowOff>
    </xdr:from>
    <xdr:to>
      <xdr:col>4</xdr:col>
      <xdr:colOff>583472</xdr:colOff>
      <xdr:row>3</xdr:row>
      <xdr:rowOff>72638</xdr:rowOff>
    </xdr:to>
    <xdr:pic>
      <xdr:nvPicPr>
        <xdr:cNvPr id="3" name="Afbeelding 2" descr="Mijn Zilveren Kruis - Zilveren Kruis">
          <a:extLst>
            <a:ext uri="{FF2B5EF4-FFF2-40B4-BE49-F238E27FC236}">
              <a16:creationId xmlns:a16="http://schemas.microsoft.com/office/drawing/2014/main" id="{DB467783-1944-4B3C-8AB8-1DC5F845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44777"/>
          <a:ext cx="964472" cy="294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B1" zoomScaleNormal="100" workbookViewId="0">
      <selection activeCell="B9" sqref="B6:B9"/>
    </sheetView>
  </sheetViews>
  <sheetFormatPr defaultColWidth="0" defaultRowHeight="15" zeroHeight="1" x14ac:dyDescent="0.25"/>
  <cols>
    <col min="1" max="1" width="83.28515625" style="6" customWidth="1"/>
    <col min="2" max="2" width="16.85546875" style="6" customWidth="1"/>
    <col min="3" max="4" width="19" style="6" customWidth="1"/>
    <col min="5" max="5" width="19" style="4" customWidth="1"/>
    <col min="6" max="6" width="20.28515625" style="4" customWidth="1"/>
    <col min="7" max="7" width="0" style="4" hidden="1" customWidth="1"/>
    <col min="8" max="16384" width="9.140625" style="4" hidden="1"/>
  </cols>
  <sheetData>
    <row r="1" spans="1:7" ht="18.75" x14ac:dyDescent="0.3">
      <c r="A1" s="8" t="s">
        <v>0</v>
      </c>
    </row>
    <row r="2" spans="1:7" ht="18.75" x14ac:dyDescent="0.3">
      <c r="A2" s="109" t="s">
        <v>72</v>
      </c>
    </row>
    <row r="3" spans="1:7" x14ac:dyDescent="0.25">
      <c r="A3" s="133" t="s">
        <v>68</v>
      </c>
    </row>
    <row r="4" spans="1:7" ht="15.75" thickBot="1" x14ac:dyDescent="0.3">
      <c r="A4" s="15"/>
      <c r="B4" s="16"/>
      <c r="C4" s="16"/>
      <c r="D4" s="16"/>
      <c r="E4" s="16"/>
    </row>
    <row r="5" spans="1:7" ht="15.75" thickBot="1" x14ac:dyDescent="0.3">
      <c r="A5" s="110" t="s">
        <v>1</v>
      </c>
      <c r="B5" s="17"/>
      <c r="C5" s="17"/>
      <c r="D5" s="17"/>
      <c r="E5" s="17"/>
    </row>
    <row r="6" spans="1:7" x14ac:dyDescent="0.25">
      <c r="A6" s="18" t="s">
        <v>2</v>
      </c>
      <c r="B6" s="114"/>
      <c r="C6" s="17"/>
      <c r="D6" s="17"/>
      <c r="E6" s="17"/>
    </row>
    <row r="7" spans="1:7" x14ac:dyDescent="0.25">
      <c r="A7" s="19" t="s">
        <v>3</v>
      </c>
      <c r="B7" s="115"/>
      <c r="C7" s="17"/>
      <c r="D7"/>
      <c r="E7" s="17"/>
    </row>
    <row r="8" spans="1:7" x14ac:dyDescent="0.25">
      <c r="A8" s="19" t="s">
        <v>45</v>
      </c>
      <c r="B8" s="115"/>
      <c r="C8" s="17"/>
      <c r="D8" s="17"/>
      <c r="E8"/>
    </row>
    <row r="9" spans="1:7" x14ac:dyDescent="0.25">
      <c r="A9" s="19" t="s">
        <v>4</v>
      </c>
      <c r="B9" s="115"/>
      <c r="C9" s="17"/>
      <c r="D9" s="17"/>
      <c r="E9" s="17"/>
    </row>
    <row r="10" spans="1:7" x14ac:dyDescent="0.25">
      <c r="A10" s="20" t="s">
        <v>5</v>
      </c>
      <c r="B10" s="112">
        <f>ROUND(76071.81*1.0247*1.0681,2)</f>
        <v>83259.23</v>
      </c>
      <c r="C10" s="17"/>
      <c r="D10" s="17"/>
      <c r="E10" s="94"/>
    </row>
    <row r="11" spans="1:7" ht="15.75" thickBot="1" x14ac:dyDescent="0.3">
      <c r="A11" s="21" t="s">
        <v>6</v>
      </c>
      <c r="B11" s="113">
        <v>2095</v>
      </c>
      <c r="C11" s="17"/>
      <c r="D11" s="17"/>
      <c r="E11" s="17"/>
    </row>
    <row r="12" spans="1:7" ht="15.75" thickBot="1" x14ac:dyDescent="0.3">
      <c r="A12" s="15"/>
      <c r="B12" s="15"/>
      <c r="C12" s="17"/>
      <c r="D12" s="17"/>
      <c r="E12" s="17"/>
    </row>
    <row r="13" spans="1:7" ht="15.75" thickBot="1" x14ac:dyDescent="0.3">
      <c r="A13" s="111" t="s">
        <v>42</v>
      </c>
      <c r="B13" s="22" t="s">
        <v>8</v>
      </c>
      <c r="C13" s="23" t="s">
        <v>9</v>
      </c>
      <c r="D13" s="22" t="s">
        <v>10</v>
      </c>
      <c r="E13" s="24" t="s">
        <v>11</v>
      </c>
    </row>
    <row r="14" spans="1:7" x14ac:dyDescent="0.25">
      <c r="A14" s="25" t="s">
        <v>41</v>
      </c>
      <c r="B14" s="116"/>
      <c r="C14" s="117"/>
      <c r="D14" s="116"/>
      <c r="E14" s="118"/>
      <c r="F14" s="16"/>
      <c r="G14" s="39"/>
    </row>
    <row r="15" spans="1:7" x14ac:dyDescent="0.25">
      <c r="A15" s="26" t="s">
        <v>15</v>
      </c>
      <c r="B15" s="119"/>
      <c r="C15" s="120"/>
      <c r="D15" s="119"/>
      <c r="E15" s="121"/>
    </row>
    <row r="16" spans="1:7" ht="15.75" thickBot="1" x14ac:dyDescent="0.3">
      <c r="A16" s="27" t="s">
        <v>19</v>
      </c>
      <c r="B16" s="122"/>
      <c r="C16" s="123"/>
      <c r="D16" s="122"/>
      <c r="E16" s="124"/>
    </row>
    <row r="17" spans="1:5" ht="15.75" thickBot="1" x14ac:dyDescent="0.3">
      <c r="A17" s="4"/>
      <c r="B17" s="17"/>
      <c r="C17" s="17"/>
      <c r="D17" s="17"/>
      <c r="E17" s="17"/>
    </row>
    <row r="18" spans="1:5" ht="15.75" thickBot="1" x14ac:dyDescent="0.3">
      <c r="A18" s="28" t="s">
        <v>29</v>
      </c>
      <c r="B18" s="29"/>
      <c r="C18" s="29"/>
      <c r="D18" s="30"/>
      <c r="E18" s="106" t="str">
        <f>IFERROR(IF('rekenblad POH-s'!E29+'rekenblad POH-s'!E30&lt;0,0,'rekenblad POH-s'!E29+'rekenblad POH-s'!E30),"")</f>
        <v/>
      </c>
    </row>
    <row r="19" spans="1:5" x14ac:dyDescent="0.25">
      <c r="A19" s="31"/>
      <c r="B19" s="31"/>
      <c r="C19" s="31"/>
      <c r="D19" s="31"/>
      <c r="E19" s="31"/>
    </row>
    <row r="20" spans="1:5" x14ac:dyDescent="0.25">
      <c r="A20" s="132" t="s">
        <v>77</v>
      </c>
      <c r="B20" s="31"/>
      <c r="C20" s="31"/>
      <c r="D20" s="31"/>
      <c r="E20" s="93"/>
    </row>
    <row r="21" spans="1:5" x14ac:dyDescent="0.25"/>
  </sheetData>
  <sheetProtection algorithmName="SHA-512" hashValue="6G8It7cK+fqGQu7j1o9e97Ir7a6qJUWZDekvIRmMbQSI5Wt7ag/zGfajKh+UroH/VdMHl5QcNYXgVXrBg/RpKw==" saltValue="CifA4rPNKXzIkzFMyjmWAg==" spinCount="100000" sheet="1" objects="1" scenarios="1" selectLockedCells="1"/>
  <dataValidations count="1">
    <dataValidation type="list" allowBlank="1" showInputMessage="1" showErrorMessage="1" sqref="B4 D4:E4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'rekenblad POH-s'!$A$41:$A$42</xm:f>
          </x14:formula1>
          <xm:sqref>B14:E14 B8</xm:sqref>
        </x14:dataValidation>
        <x14:dataValidation type="list" allowBlank="1" showInputMessage="1" showErrorMessage="1" xr:uid="{00000000-0002-0000-0000-000002000000}">
          <x14:formula1>
            <xm:f>'rekenblad POH-s'!$A$35:$A$38</xm:f>
          </x14:formula1>
          <xm:sqref>B15:E15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zoomScale="115" zoomScaleNormal="115" workbookViewId="0">
      <selection activeCell="A13" sqref="A13"/>
    </sheetView>
  </sheetViews>
  <sheetFormatPr defaultColWidth="9.140625" defaultRowHeight="15" x14ac:dyDescent="0.25"/>
  <cols>
    <col min="1" max="1" width="54.7109375" style="2" customWidth="1"/>
    <col min="2" max="2" width="16.85546875" style="2" customWidth="1"/>
    <col min="3" max="4" width="19" style="2" customWidth="1"/>
    <col min="5" max="5" width="19" style="1" customWidth="1"/>
    <col min="6" max="6" width="26" style="1" bestFit="1" customWidth="1"/>
    <col min="7" max="7" width="14.85546875" style="1" customWidth="1"/>
    <col min="8" max="16384" width="9.140625" style="1"/>
  </cols>
  <sheetData>
    <row r="1" spans="1:10" x14ac:dyDescent="0.25">
      <c r="A1" s="42"/>
    </row>
    <row r="2" spans="1:10" x14ac:dyDescent="0.25">
      <c r="A2" s="42"/>
    </row>
    <row r="3" spans="1:10" ht="18.75" x14ac:dyDescent="0.3">
      <c r="A3" s="43" t="s">
        <v>0</v>
      </c>
    </row>
    <row r="4" spans="1:10" x14ac:dyDescent="0.25">
      <c r="A4" s="44"/>
      <c r="B4" s="45"/>
      <c r="C4" s="45"/>
      <c r="D4" s="45"/>
      <c r="E4" s="45"/>
    </row>
    <row r="5" spans="1:10" x14ac:dyDescent="0.25">
      <c r="A5" s="46" t="s">
        <v>1</v>
      </c>
      <c r="B5" s="47"/>
      <c r="C5" s="47"/>
      <c r="D5" s="47"/>
      <c r="E5" s="47"/>
    </row>
    <row r="6" spans="1:10" x14ac:dyDescent="0.25">
      <c r="A6" s="48" t="s">
        <v>2</v>
      </c>
      <c r="B6" s="49">
        <f>'POH-S'!B6</f>
        <v>0</v>
      </c>
      <c r="C6" s="47"/>
      <c r="D6" s="47"/>
      <c r="E6" s="47"/>
    </row>
    <row r="7" spans="1:10" x14ac:dyDescent="0.25">
      <c r="A7" s="48" t="s">
        <v>3</v>
      </c>
      <c r="B7" s="49">
        <f>'POH-S'!B7</f>
        <v>0</v>
      </c>
      <c r="C7" s="47"/>
      <c r="D7" s="47"/>
      <c r="E7" s="47"/>
    </row>
    <row r="8" spans="1:10" x14ac:dyDescent="0.25">
      <c r="A8" s="48" t="s">
        <v>45</v>
      </c>
      <c r="B8" s="49">
        <f>'POH-S'!B8</f>
        <v>0</v>
      </c>
      <c r="C8" s="47"/>
      <c r="D8" s="47"/>
      <c r="E8" s="47"/>
    </row>
    <row r="9" spans="1:10" x14ac:dyDescent="0.25">
      <c r="A9" s="48" t="s">
        <v>4</v>
      </c>
      <c r="B9" s="49">
        <f>'POH-S'!B9</f>
        <v>0</v>
      </c>
      <c r="C9" s="47"/>
      <c r="D9" s="47"/>
      <c r="E9" s="47"/>
    </row>
    <row r="10" spans="1:10" x14ac:dyDescent="0.25">
      <c r="A10" s="50" t="s">
        <v>5</v>
      </c>
      <c r="B10" s="92">
        <f>'POH-S'!B10</f>
        <v>83259.23</v>
      </c>
      <c r="C10" s="85"/>
      <c r="D10" s="47"/>
      <c r="E10" s="47"/>
      <c r="G10" s="104"/>
    </row>
    <row r="11" spans="1:10" x14ac:dyDescent="0.25">
      <c r="A11" s="50" t="s">
        <v>6</v>
      </c>
      <c r="B11" s="51">
        <f>'POH-S'!B11</f>
        <v>2095</v>
      </c>
      <c r="C11" s="47"/>
      <c r="D11" s="47"/>
      <c r="E11" s="47"/>
    </row>
    <row r="12" spans="1:10" x14ac:dyDescent="0.25">
      <c r="A12" s="44"/>
      <c r="B12" s="44"/>
      <c r="C12" s="47"/>
      <c r="D12" s="47"/>
      <c r="E12" s="47"/>
    </row>
    <row r="13" spans="1:10" x14ac:dyDescent="0.25">
      <c r="A13" s="46" t="s">
        <v>7</v>
      </c>
      <c r="B13" s="52" t="s">
        <v>8</v>
      </c>
      <c r="C13" s="52" t="s">
        <v>9</v>
      </c>
      <c r="D13" s="52" t="s">
        <v>10</v>
      </c>
      <c r="E13" s="53" t="s">
        <v>11</v>
      </c>
    </row>
    <row r="14" spans="1:10" x14ac:dyDescent="0.25">
      <c r="A14" s="48" t="s">
        <v>12</v>
      </c>
      <c r="B14" s="49">
        <f>'POH-S'!B14</f>
        <v>0</v>
      </c>
      <c r="C14" s="49">
        <f>'POH-S'!C14</f>
        <v>0</v>
      </c>
      <c r="D14" s="49">
        <f>'POH-S'!D14</f>
        <v>0</v>
      </c>
      <c r="E14" s="49">
        <f>'POH-S'!E14</f>
        <v>0</v>
      </c>
      <c r="F14" s="95" t="s">
        <v>14</v>
      </c>
      <c r="G14"/>
      <c r="H14"/>
      <c r="I14"/>
      <c r="J14"/>
    </row>
    <row r="15" spans="1:10" x14ac:dyDescent="0.25">
      <c r="A15" s="48" t="s">
        <v>15</v>
      </c>
      <c r="B15" s="49">
        <f>'POH-S'!B15</f>
        <v>0</v>
      </c>
      <c r="C15" s="49">
        <f>'POH-S'!C15</f>
        <v>0</v>
      </c>
      <c r="D15" s="49">
        <f>'POH-S'!D15</f>
        <v>0</v>
      </c>
      <c r="E15" s="49">
        <f>'POH-S'!E15</f>
        <v>0</v>
      </c>
      <c r="F15"/>
      <c r="G15"/>
      <c r="H15"/>
      <c r="I15"/>
      <c r="J15"/>
    </row>
    <row r="16" spans="1:10" x14ac:dyDescent="0.25">
      <c r="A16" s="48" t="s">
        <v>19</v>
      </c>
      <c r="B16" s="49">
        <f>'POH-S'!B16</f>
        <v>0</v>
      </c>
      <c r="C16" s="49">
        <f>'POH-S'!C16</f>
        <v>0</v>
      </c>
      <c r="D16" s="49">
        <f>'POH-S'!D16</f>
        <v>0</v>
      </c>
      <c r="E16" s="49">
        <f>'POH-S'!E16</f>
        <v>0</v>
      </c>
      <c r="F16"/>
      <c r="G16"/>
      <c r="H16"/>
      <c r="I16"/>
      <c r="J16"/>
    </row>
    <row r="17" spans="1:10" x14ac:dyDescent="0.25">
      <c r="A17" s="1"/>
      <c r="B17" s="47"/>
      <c r="C17" s="47"/>
      <c r="D17" s="47"/>
      <c r="E17" s="47"/>
      <c r="F17"/>
      <c r="G17"/>
      <c r="H17"/>
      <c r="I17"/>
      <c r="J17"/>
    </row>
    <row r="18" spans="1:10" x14ac:dyDescent="0.25">
      <c r="A18" s="46" t="s">
        <v>20</v>
      </c>
      <c r="B18" s="54" t="s">
        <v>21</v>
      </c>
      <c r="C18" s="54" t="s">
        <v>22</v>
      </c>
      <c r="D18" s="54" t="s">
        <v>18</v>
      </c>
      <c r="E18" s="54" t="s">
        <v>23</v>
      </c>
      <c r="F18"/>
      <c r="G18" s="96">
        <f>1.52/G19</f>
        <v>3.500606060606061E-2</v>
      </c>
      <c r="H18" s="97">
        <f>G18*100</f>
        <v>3.5006060606060609</v>
      </c>
      <c r="I18" s="98" t="s">
        <v>48</v>
      </c>
      <c r="J18"/>
    </row>
    <row r="19" spans="1:10" x14ac:dyDescent="0.25">
      <c r="A19" s="55" t="s">
        <v>24</v>
      </c>
      <c r="B19" s="50"/>
      <c r="C19" s="56"/>
      <c r="D19" s="50"/>
      <c r="E19" s="57">
        <f>B6</f>
        <v>0</v>
      </c>
      <c r="F19"/>
      <c r="G19" s="98">
        <f>1650/38</f>
        <v>43.421052631578945</v>
      </c>
      <c r="H19" s="99" t="s">
        <v>49</v>
      </c>
      <c r="I19"/>
      <c r="J19"/>
    </row>
    <row r="20" spans="1:10" x14ac:dyDescent="0.25">
      <c r="A20" s="55" t="s">
        <v>59</v>
      </c>
      <c r="B20" s="58"/>
      <c r="C20" s="56"/>
      <c r="D20" s="50"/>
      <c r="E20" s="87">
        <f>IF(B8="ja",(-B9*1.52)/43.42,0)</f>
        <v>0</v>
      </c>
      <c r="F20" s="100" t="s">
        <v>50</v>
      </c>
      <c r="G20" s="100" t="s">
        <v>51</v>
      </c>
      <c r="H20" s="101"/>
      <c r="I20" s="101"/>
      <c r="J20"/>
    </row>
    <row r="21" spans="1:10" x14ac:dyDescent="0.25">
      <c r="A21" s="59" t="s">
        <v>25</v>
      </c>
      <c r="B21" s="58"/>
      <c r="D21" s="50"/>
      <c r="E21" s="60">
        <f>SUM(E19:E20)</f>
        <v>0</v>
      </c>
      <c r="F21" s="99" t="s">
        <v>52</v>
      </c>
      <c r="G21" s="102"/>
      <c r="H21" s="99"/>
      <c r="I21" s="99"/>
      <c r="J21"/>
    </row>
    <row r="22" spans="1:10" x14ac:dyDescent="0.25">
      <c r="A22" s="48" t="s">
        <v>8</v>
      </c>
      <c r="B22" s="57">
        <f>IF(B14="ja",(VLOOKUP(B15,A35:B38,2,FALSE)),0)</f>
        <v>0</v>
      </c>
      <c r="C22" s="61">
        <f>IF(B15="in eigen beheer",0,(B22*B16)/43.42)</f>
        <v>0</v>
      </c>
      <c r="D22" s="61">
        <f>IF(B15="in eigen beheer",B7/B11*B22,0)</f>
        <v>0</v>
      </c>
      <c r="E22" s="57">
        <f>C22+D22</f>
        <v>0</v>
      </c>
      <c r="F22" s="99" t="s">
        <v>53</v>
      </c>
      <c r="G22" s="99"/>
      <c r="H22" s="99"/>
      <c r="I22" s="99"/>
      <c r="J22"/>
    </row>
    <row r="23" spans="1:10" x14ac:dyDescent="0.25">
      <c r="A23" s="48" t="s">
        <v>9</v>
      </c>
      <c r="B23" s="57">
        <f>IF(C14="ja",(VLOOKUP(C15,A35:C38,3,FALSE)),0)</f>
        <v>0</v>
      </c>
      <c r="C23" s="61">
        <f>IF(C15="in eigen beheer",0,(B23*C16)/43.42)</f>
        <v>0</v>
      </c>
      <c r="D23" s="61">
        <f>IF(C15="in eigen beheer",B7/B11*B23,0)</f>
        <v>0</v>
      </c>
      <c r="E23" s="57">
        <f>C23+D23</f>
        <v>0</v>
      </c>
      <c r="F23" s="99"/>
      <c r="G23" s="99"/>
      <c r="H23" s="99"/>
      <c r="I23" s="99"/>
      <c r="J23"/>
    </row>
    <row r="24" spans="1:10" x14ac:dyDescent="0.25">
      <c r="A24" s="48" t="s">
        <v>26</v>
      </c>
      <c r="B24" s="57">
        <f>IF(D14="ja",(VLOOKUP(D15,A35:D38,4,FALSE)),0)</f>
        <v>0</v>
      </c>
      <c r="C24" s="61">
        <f>IF(D15="in eigen beheer",0,(B24*D16)/43.42)</f>
        <v>0</v>
      </c>
      <c r="D24" s="61">
        <f>IF(D15="in eigen beheer",B7/B11*B24,0)</f>
        <v>0</v>
      </c>
      <c r="E24" s="57">
        <f>C24+D24</f>
        <v>0</v>
      </c>
      <c r="F24" s="99"/>
      <c r="G24" s="99"/>
      <c r="H24" s="99"/>
      <c r="I24" s="99"/>
      <c r="J24"/>
    </row>
    <row r="25" spans="1:10" x14ac:dyDescent="0.25">
      <c r="A25" s="48" t="s">
        <v>11</v>
      </c>
      <c r="B25" s="57">
        <f>IF(E14="ja",(VLOOKUP(E15,A35:E38,5,FALSE)),0)</f>
        <v>0</v>
      </c>
      <c r="C25" s="61">
        <f>IF(E15="in eigen beheer",0,(B25*E16)/43.42)</f>
        <v>0</v>
      </c>
      <c r="D25" s="61">
        <f>IF(E15="in eigen beheer",B7/B11*B25,0)</f>
        <v>0</v>
      </c>
      <c r="E25" s="57">
        <f>C25+D25</f>
        <v>0</v>
      </c>
      <c r="F25" s="99"/>
      <c r="G25" s="99"/>
      <c r="H25" s="99"/>
      <c r="I25" s="99"/>
      <c r="J25"/>
    </row>
    <row r="26" spans="1:10" x14ac:dyDescent="0.25">
      <c r="A26" s="48" t="s">
        <v>27</v>
      </c>
      <c r="B26" s="50"/>
      <c r="C26" s="61"/>
      <c r="D26" s="61">
        <f>(B7/B11)*2.5</f>
        <v>0</v>
      </c>
      <c r="E26" s="57">
        <f>C26+D26</f>
        <v>0</v>
      </c>
      <c r="F26" s="99"/>
      <c r="G26" s="99"/>
      <c r="H26" s="99"/>
      <c r="I26" s="99"/>
      <c r="J26"/>
    </row>
    <row r="27" spans="1:10" x14ac:dyDescent="0.25">
      <c r="A27" s="55" t="s">
        <v>28</v>
      </c>
      <c r="B27" s="50"/>
      <c r="C27" s="86">
        <f>SUM(C22:C26)</f>
        <v>0</v>
      </c>
      <c r="D27" s="62">
        <f>SUM(D22:D26)</f>
        <v>0</v>
      </c>
      <c r="E27" s="62">
        <f>SUM(E22:E26)</f>
        <v>0</v>
      </c>
      <c r="F27" s="103"/>
      <c r="G27"/>
      <c r="H27"/>
      <c r="I27" s="99"/>
      <c r="J27"/>
    </row>
    <row r="28" spans="1:10" x14ac:dyDescent="0.25">
      <c r="B28" s="63"/>
      <c r="C28" s="64"/>
      <c r="D28" s="50"/>
      <c r="E28" s="50"/>
      <c r="F28" s="99"/>
      <c r="G28" s="99"/>
      <c r="H28" s="99"/>
      <c r="I28" s="99"/>
      <c r="J28"/>
    </row>
    <row r="29" spans="1:10" x14ac:dyDescent="0.25">
      <c r="A29" s="65" t="s">
        <v>29</v>
      </c>
      <c r="B29" s="66"/>
      <c r="C29" s="66"/>
      <c r="D29" s="67"/>
      <c r="E29" s="68" t="e">
        <f>IF(E27&gt;=E21,((((E21-C27)/38)*B10)/B7/4),0)</f>
        <v>#DIV/0!</v>
      </c>
      <c r="F29" s="99" t="s">
        <v>54</v>
      </c>
      <c r="G29" s="99" t="s">
        <v>55</v>
      </c>
      <c r="H29" s="99"/>
      <c r="I29" s="99"/>
      <c r="J29"/>
    </row>
    <row r="30" spans="1:10" x14ac:dyDescent="0.25">
      <c r="A30" s="69"/>
      <c r="B30" s="70"/>
      <c r="C30" s="70"/>
      <c r="D30" s="71"/>
      <c r="E30" s="72">
        <f>IF(E21&gt;E27,((D27/38)*B10/B7/4),0)</f>
        <v>0</v>
      </c>
      <c r="F30" s="99" t="s">
        <v>56</v>
      </c>
      <c r="G30" s="99" t="s">
        <v>57</v>
      </c>
      <c r="H30" s="99"/>
      <c r="I30" s="99"/>
      <c r="J30"/>
    </row>
    <row r="31" spans="1:10" x14ac:dyDescent="0.25">
      <c r="A31" s="73"/>
      <c r="B31" s="73"/>
      <c r="C31" s="73"/>
      <c r="D31" s="73"/>
      <c r="E31" s="73"/>
      <c r="F31" s="99"/>
      <c r="G31" s="99"/>
      <c r="H31" s="99"/>
      <c r="I31" s="99"/>
      <c r="J31"/>
    </row>
    <row r="32" spans="1:10" x14ac:dyDescent="0.25">
      <c r="A32" s="73"/>
      <c r="B32" s="73"/>
      <c r="C32" s="73"/>
      <c r="D32" s="73"/>
      <c r="E32" s="73"/>
      <c r="F32" s="99"/>
      <c r="G32" s="99"/>
      <c r="H32" s="99"/>
      <c r="I32" s="99"/>
      <c r="J32"/>
    </row>
    <row r="33" spans="1:10" x14ac:dyDescent="0.25">
      <c r="F33" s="99"/>
      <c r="G33" s="99"/>
      <c r="H33" s="99"/>
      <c r="I33" s="99"/>
      <c r="J33"/>
    </row>
    <row r="34" spans="1:10" x14ac:dyDescent="0.25">
      <c r="A34" s="46" t="s">
        <v>30</v>
      </c>
      <c r="B34" s="74" t="s">
        <v>8</v>
      </c>
      <c r="C34" s="74" t="s">
        <v>9</v>
      </c>
      <c r="D34" s="74" t="s">
        <v>10</v>
      </c>
      <c r="E34" s="75" t="s">
        <v>11</v>
      </c>
      <c r="F34" s="99"/>
      <c r="G34" s="99"/>
      <c r="H34" s="99"/>
      <c r="I34" s="99"/>
      <c r="J34"/>
    </row>
    <row r="35" spans="1:10" x14ac:dyDescent="0.25">
      <c r="A35" s="76" t="s">
        <v>17</v>
      </c>
      <c r="B35" s="77">
        <v>2.4700000000000002</v>
      </c>
      <c r="C35" s="77">
        <v>3.2</v>
      </c>
      <c r="D35" s="77">
        <v>2</v>
      </c>
      <c r="E35" s="78">
        <v>1.1200000000000001</v>
      </c>
      <c r="F35" s="99" t="s">
        <v>58</v>
      </c>
      <c r="G35" s="99"/>
      <c r="H35" s="99"/>
      <c r="I35" s="99"/>
      <c r="J35"/>
    </row>
    <row r="36" spans="1:10" x14ac:dyDescent="0.25">
      <c r="A36" s="76" t="s">
        <v>31</v>
      </c>
      <c r="B36" s="77">
        <v>1.42</v>
      </c>
      <c r="C36" s="77">
        <v>0.92</v>
      </c>
      <c r="D36" s="77">
        <v>0.97</v>
      </c>
      <c r="E36" s="78">
        <v>1.18</v>
      </c>
      <c r="F36" s="99"/>
      <c r="G36" s="99"/>
      <c r="H36" s="99"/>
      <c r="I36" s="99"/>
      <c r="J36"/>
    </row>
    <row r="37" spans="1:10" x14ac:dyDescent="0.25">
      <c r="A37" s="79" t="s">
        <v>16</v>
      </c>
      <c r="B37" s="80">
        <v>2.27</v>
      </c>
      <c r="C37" s="80">
        <v>2.16</v>
      </c>
      <c r="D37" s="80">
        <v>1.4</v>
      </c>
      <c r="E37" s="81">
        <v>1.21</v>
      </c>
      <c r="F37" s="99"/>
      <c r="G37" s="99"/>
      <c r="H37" s="99"/>
      <c r="I37" s="99"/>
      <c r="J37"/>
    </row>
    <row r="38" spans="1:10" x14ac:dyDescent="0.25">
      <c r="A38" s="82" t="s">
        <v>18</v>
      </c>
      <c r="B38" s="80">
        <v>4</v>
      </c>
      <c r="C38" s="80">
        <v>0.9</v>
      </c>
      <c r="D38" s="80">
        <v>2</v>
      </c>
      <c r="E38" s="81">
        <v>4.0999999999999996</v>
      </c>
      <c r="F38" s="99"/>
      <c r="G38" s="99"/>
      <c r="H38" s="99"/>
      <c r="I38" s="99"/>
      <c r="J38"/>
    </row>
    <row r="40" spans="1:10" x14ac:dyDescent="0.25">
      <c r="A40" s="46" t="s">
        <v>32</v>
      </c>
    </row>
    <row r="41" spans="1:10" x14ac:dyDescent="0.25">
      <c r="A41" s="83" t="s">
        <v>13</v>
      </c>
    </row>
    <row r="42" spans="1:10" x14ac:dyDescent="0.25">
      <c r="A42" s="83" t="s">
        <v>33</v>
      </c>
    </row>
    <row r="43" spans="1:10" x14ac:dyDescent="0.25">
      <c r="A43" s="84"/>
    </row>
    <row r="44" spans="1:10" x14ac:dyDescent="0.25">
      <c r="A44" s="46" t="s">
        <v>34</v>
      </c>
    </row>
    <row r="45" spans="1:10" x14ac:dyDescent="0.25">
      <c r="A45" s="83" t="s">
        <v>17</v>
      </c>
      <c r="B45" s="1"/>
    </row>
    <row r="46" spans="1:10" x14ac:dyDescent="0.25">
      <c r="A46" s="83" t="s">
        <v>31</v>
      </c>
    </row>
    <row r="47" spans="1:10" x14ac:dyDescent="0.25">
      <c r="A47" s="83" t="s">
        <v>16</v>
      </c>
    </row>
    <row r="48" spans="1:10" x14ac:dyDescent="0.25">
      <c r="A48" s="83" t="s">
        <v>18</v>
      </c>
    </row>
  </sheetData>
  <dataValidations count="1">
    <dataValidation type="list" allowBlank="1" showInputMessage="1" showErrorMessage="1" sqref="B4:E4" xr:uid="{00000000-0002-0000-0200-000000000000}">
      <formula1>$A$45:$A$48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zoomScaleNormal="100" workbookViewId="0">
      <selection activeCell="B7" sqref="B7:B8"/>
    </sheetView>
  </sheetViews>
  <sheetFormatPr defaultColWidth="0" defaultRowHeight="15" zeroHeight="1" x14ac:dyDescent="0.25"/>
  <cols>
    <col min="1" max="1" width="48.7109375" style="4" customWidth="1"/>
    <col min="2" max="3" width="11.28515625" style="4" customWidth="1"/>
    <col min="4" max="4" width="19" style="4" customWidth="1"/>
    <col min="5" max="5" width="14.140625" style="4" customWidth="1"/>
    <col min="6" max="6" width="15.140625" style="4" customWidth="1"/>
    <col min="7" max="7" width="8.85546875" style="4" hidden="1" customWidth="1"/>
    <col min="8" max="8" width="16.85546875" style="4" hidden="1" customWidth="1"/>
    <col min="9" max="9" width="19" style="4" hidden="1" customWidth="1"/>
    <col min="10" max="10" width="0" style="4" hidden="1" customWidth="1"/>
    <col min="11" max="16384" width="9.140625" style="4" hidden="1"/>
  </cols>
  <sheetData>
    <row r="1" spans="1:10" ht="18.75" x14ac:dyDescent="0.3">
      <c r="A1" s="8" t="s">
        <v>43</v>
      </c>
    </row>
    <row r="2" spans="1:10" ht="18.75" x14ac:dyDescent="0.3">
      <c r="A2" s="109" t="s">
        <v>72</v>
      </c>
    </row>
    <row r="3" spans="1:10" s="133" customFormat="1" ht="12.75" x14ac:dyDescent="0.2">
      <c r="A3" s="133" t="s">
        <v>68</v>
      </c>
    </row>
    <row r="4" spans="1:10" ht="15.75" thickBot="1" x14ac:dyDescent="0.3">
      <c r="A4" s="3"/>
      <c r="B4" s="3"/>
      <c r="G4" s="4" t="s">
        <v>62</v>
      </c>
    </row>
    <row r="5" spans="1:10" ht="15.75" thickBot="1" x14ac:dyDescent="0.3">
      <c r="A5" s="111" t="s">
        <v>35</v>
      </c>
      <c r="B5" s="129" t="s">
        <v>64</v>
      </c>
      <c r="C5" s="129" t="s">
        <v>65</v>
      </c>
      <c r="D5" s="130" t="s">
        <v>66</v>
      </c>
      <c r="E5" s="131" t="s">
        <v>67</v>
      </c>
      <c r="G5" s="4" t="s">
        <v>63</v>
      </c>
    </row>
    <row r="6" spans="1:10" ht="14.25" customHeight="1" x14ac:dyDescent="0.25">
      <c r="A6" s="13" t="s">
        <v>44</v>
      </c>
      <c r="B6" s="9"/>
      <c r="C6" s="126">
        <f>I10</f>
        <v>370.03</v>
      </c>
      <c r="D6" s="36"/>
      <c r="E6" s="12" t="s">
        <v>39</v>
      </c>
    </row>
    <row r="7" spans="1:10" x14ac:dyDescent="0.25">
      <c r="A7" s="14" t="s">
        <v>37</v>
      </c>
      <c r="B7" s="127">
        <f>'POH-S'!B7</f>
        <v>0</v>
      </c>
      <c r="C7" s="11"/>
      <c r="D7" s="37"/>
      <c r="E7" s="10" t="s">
        <v>36</v>
      </c>
      <c r="G7" s="4">
        <v>2021</v>
      </c>
      <c r="H7" s="4" t="s">
        <v>75</v>
      </c>
      <c r="I7" s="4" t="s">
        <v>76</v>
      </c>
    </row>
    <row r="8" spans="1:10" x14ac:dyDescent="0.25">
      <c r="A8" s="14" t="s">
        <v>40</v>
      </c>
      <c r="B8" s="127">
        <f>'POH-S'!B9</f>
        <v>0</v>
      </c>
      <c r="C8" s="11"/>
      <c r="D8" s="37"/>
      <c r="E8" s="10" t="s">
        <v>36</v>
      </c>
      <c r="G8" s="7">
        <v>116.56</v>
      </c>
      <c r="H8" s="7">
        <f>ROUND(G8*1.0247*1.0486,2)</f>
        <v>125.24</v>
      </c>
      <c r="I8" s="7">
        <f>ROUND(G8*1.0247*1.0681,2)</f>
        <v>127.57</v>
      </c>
      <c r="J8" s="4" t="s">
        <v>46</v>
      </c>
    </row>
    <row r="9" spans="1:10" ht="30" customHeight="1" x14ac:dyDescent="0.25">
      <c r="A9" s="108" t="s">
        <v>61</v>
      </c>
      <c r="B9" s="128"/>
      <c r="C9" s="107"/>
      <c r="D9" s="89"/>
      <c r="E9" s="90"/>
      <c r="G9" s="7"/>
      <c r="H9" s="7"/>
      <c r="I9" s="7"/>
    </row>
    <row r="10" spans="1:10" x14ac:dyDescent="0.25">
      <c r="A10" s="88" t="s">
        <v>60</v>
      </c>
      <c r="B10" s="91"/>
      <c r="C10" s="125">
        <v>0.3</v>
      </c>
      <c r="D10" s="89"/>
      <c r="E10" s="90"/>
      <c r="G10" s="7">
        <v>338.09</v>
      </c>
      <c r="H10" s="7">
        <f>ROUND(G10*1.0247*1.0486,2)</f>
        <v>363.28</v>
      </c>
      <c r="I10" s="7">
        <f>ROUND(G10*1.0247*1.0681,2)</f>
        <v>370.03</v>
      </c>
      <c r="J10" s="4" t="s">
        <v>47</v>
      </c>
    </row>
    <row r="11" spans="1:10" ht="15.75" thickBot="1" x14ac:dyDescent="0.3">
      <c r="A11" s="33" t="s">
        <v>38</v>
      </c>
      <c r="B11" s="34"/>
      <c r="C11" s="34"/>
      <c r="D11" s="105" t="str">
        <f>IFERROR(IF(B9="Ja",(C10*B8*C6/B7/4)+H14,C10*B8*C6/B7/4),"")</f>
        <v/>
      </c>
      <c r="E11" s="35" t="s">
        <v>39</v>
      </c>
      <c r="G11" s="7">
        <f>G10*0.3</f>
        <v>101.42699999999999</v>
      </c>
      <c r="H11" s="7">
        <f>ROUND(G11*1.0247*1.0486,2)</f>
        <v>108.98</v>
      </c>
      <c r="I11" s="7">
        <f>ROUND(G11*1.0247*1.0681,2)</f>
        <v>111.01</v>
      </c>
      <c r="J11" s="4" t="s">
        <v>46</v>
      </c>
    </row>
    <row r="12" spans="1:10" x14ac:dyDescent="0.25">
      <c r="A12" s="6"/>
      <c r="B12" s="6"/>
      <c r="C12" s="6"/>
      <c r="D12" s="38"/>
      <c r="E12" s="39"/>
      <c r="F12" s="39"/>
      <c r="G12" s="32">
        <f>G11/G8-1</f>
        <v>-0.12983013040494173</v>
      </c>
      <c r="H12" s="32"/>
      <c r="I12" s="32"/>
    </row>
    <row r="13" spans="1:10" ht="15.75" x14ac:dyDescent="0.25">
      <c r="A13" s="132" t="s">
        <v>77</v>
      </c>
      <c r="D13" s="39"/>
      <c r="E13" s="39"/>
      <c r="F13" s="39"/>
      <c r="J13" s="5"/>
    </row>
    <row r="14" spans="1:10" x14ac:dyDescent="0.25">
      <c r="D14" s="40"/>
      <c r="E14" s="38"/>
      <c r="F14" s="39"/>
      <c r="G14" s="7">
        <v>0.12</v>
      </c>
      <c r="H14" s="7">
        <f>ROUND(G14*1.0247*1.0486,2)</f>
        <v>0.13</v>
      </c>
      <c r="I14" s="7">
        <f>ROUND(G14*1.0247*1.0681,2)</f>
        <v>0.13</v>
      </c>
    </row>
    <row r="15" spans="1:10" hidden="1" x14ac:dyDescent="0.25">
      <c r="D15" s="39"/>
      <c r="E15" s="38"/>
      <c r="F15" s="39"/>
    </row>
    <row r="16" spans="1:10" hidden="1" x14ac:dyDescent="0.25">
      <c r="D16" s="39"/>
      <c r="E16" s="38"/>
      <c r="F16" s="39"/>
    </row>
    <row r="17" spans="4:6" hidden="1" x14ac:dyDescent="0.25">
      <c r="D17" s="39"/>
      <c r="E17" s="38"/>
      <c r="F17" s="39"/>
    </row>
    <row r="18" spans="4:6" hidden="1" x14ac:dyDescent="0.25">
      <c r="D18" s="39"/>
      <c r="E18" s="38"/>
      <c r="F18" s="39"/>
    </row>
    <row r="19" spans="4:6" hidden="1" x14ac:dyDescent="0.25">
      <c r="D19" s="39"/>
      <c r="E19" s="41"/>
      <c r="F19" s="39"/>
    </row>
    <row r="20" spans="4:6" hidden="1" x14ac:dyDescent="0.25">
      <c r="D20" s="39"/>
      <c r="E20" s="39"/>
      <c r="F20" s="39"/>
    </row>
    <row r="21" spans="4:6" hidden="1" x14ac:dyDescent="0.25">
      <c r="D21" s="39"/>
      <c r="E21" s="39"/>
      <c r="F21" s="39"/>
    </row>
  </sheetData>
  <sheetProtection algorithmName="SHA-512" hashValue="CALXH3E75ro/y4eS8QcSuJbRKVuUym40pwX8iZGOLsvCiK3rmdOTXzwRMsnx8iMpi0QNQJozFHK5apS4Fhac8Q==" saltValue="pElZuICwPJqK81otwrjtPw==" spinCount="100000" sheet="1" objects="1" scenarios="1" selectLockedCells="1"/>
  <dataValidations count="1">
    <dataValidation type="list" allowBlank="1" showInputMessage="1" showErrorMessage="1" sqref="B9" xr:uid="{5F77F377-CEC0-443A-A211-EFBE5E3C5983}">
      <formula1>$G$4:$G$5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BC0D-310A-4EB8-BEA5-9438C13CE42D}">
  <dimension ref="A1:D11"/>
  <sheetViews>
    <sheetView workbookViewId="0">
      <selection activeCell="C11" sqref="C11"/>
    </sheetView>
  </sheetViews>
  <sheetFormatPr defaultColWidth="0" defaultRowHeight="15" zeroHeight="1" x14ac:dyDescent="0.25"/>
  <cols>
    <col min="1" max="1" width="7" bestFit="1" customWidth="1"/>
    <col min="2" max="2" width="11" customWidth="1"/>
    <col min="3" max="3" width="51" style="140" customWidth="1"/>
    <col min="4" max="4" width="9.140625" style="140" customWidth="1"/>
    <col min="5" max="16384" width="9.140625" hidden="1"/>
  </cols>
  <sheetData>
    <row r="1" spans="1:3" ht="15.75" thickBot="1" x14ac:dyDescent="0.3">
      <c r="A1" s="138" t="s">
        <v>69</v>
      </c>
      <c r="B1" s="110" t="s">
        <v>71</v>
      </c>
      <c r="C1" s="110" t="s">
        <v>70</v>
      </c>
    </row>
    <row r="2" spans="1:3" x14ac:dyDescent="0.25">
      <c r="A2" s="134">
        <v>1</v>
      </c>
      <c r="B2" s="137">
        <v>44789</v>
      </c>
      <c r="C2" s="136" t="s">
        <v>73</v>
      </c>
    </row>
    <row r="3" spans="1:3" x14ac:dyDescent="0.25">
      <c r="A3" s="135">
        <v>2</v>
      </c>
      <c r="B3" s="139">
        <v>44839</v>
      </c>
      <c r="C3" s="19" t="s">
        <v>74</v>
      </c>
    </row>
    <row r="4" spans="1:3" x14ac:dyDescent="0.25">
      <c r="A4" s="135"/>
      <c r="B4" s="135"/>
      <c r="C4" s="19"/>
    </row>
    <row r="5" spans="1:3" x14ac:dyDescent="0.25">
      <c r="A5" s="135"/>
      <c r="B5" s="135"/>
      <c r="C5" s="19"/>
    </row>
    <row r="6" spans="1:3" x14ac:dyDescent="0.25">
      <c r="A6" s="135"/>
      <c r="B6" s="135"/>
      <c r="C6" s="19"/>
    </row>
    <row r="7" spans="1:3" x14ac:dyDescent="0.25">
      <c r="A7" s="135"/>
      <c r="B7" s="135"/>
      <c r="C7" s="19"/>
    </row>
    <row r="8" spans="1:3" x14ac:dyDescent="0.25">
      <c r="A8" s="135"/>
      <c r="B8" s="135"/>
      <c r="C8" s="19"/>
    </row>
    <row r="9" spans="1:3" x14ac:dyDescent="0.25">
      <c r="A9" s="135"/>
      <c r="B9" s="135"/>
      <c r="C9" s="19"/>
    </row>
    <row r="10" spans="1:3" x14ac:dyDescent="0.25">
      <c r="A10" s="135"/>
      <c r="B10" s="135"/>
      <c r="C10" s="19"/>
    </row>
    <row r="11" spans="1:3" x14ac:dyDescent="0.25">
      <c r="A11" s="140"/>
      <c r="B11" s="140"/>
    </row>
  </sheetData>
  <sheetProtection algorithmName="SHA-512" hashValue="kJOj6N8SAix94UX0K3s5n1SeYUdencJGtFXaWJ84LmJDrGTsLRVNXRw1daV2AeThJK6L33vAbebFopIdtvxoQg==" saltValue="J21rCwJLRgFhxYHeZqk5Zg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e16ac8-be90-47d0-a0f3-97169ca29ea4">
      <Value>263</Value>
      <Value>223</Value>
    </TaxCatchAll>
    <TaxKeywordTaxHTField xmlns="abe16ac8-be90-47d0-a0f3-97169ca29ea4">
      <Terms xmlns="http://schemas.microsoft.com/office/infopath/2007/PartnerControls"/>
    </TaxKeywordTaxHTField>
    <b27fcc31beaf4d658529e03c5a310ccd xmlns="abe16ac8-be90-47d0-a0f3-97169ca29ea4">
      <Terms xmlns="http://schemas.microsoft.com/office/infopath/2007/PartnerControls"/>
    </b27fcc31beaf4d658529e03c5a310ccd>
    <p4c8a2b786ca4c9b92a42bb4f4886bdc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0976c861-5558-4696-8472-f9ec75f0fb40</TermId>
        </TermInfo>
      </Terms>
    </p4c8a2b786ca4c9b92a42bb4f4886bdc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c3f8db29-7e52-4733-b241-859ce0df1885</TermId>
        </TermInfo>
      </Terms>
    </kef6b4f4a29743bb971e41d6e3f20aa2>
    <p2a76cde4a3e494a8e2735af05fb6e87 xmlns="abe16ac8-be90-47d0-a0f3-97169ca29ea4">
      <Terms xmlns="http://schemas.microsoft.com/office/infopath/2007/PartnerControls"/>
    </p2a76cde4a3e494a8e2735af05fb6e87>
    <ha513d776c704f9b80334f77961eaf34 xmlns="abe16ac8-be90-47d0-a0f3-97169ca29ea4">
      <Terms xmlns="http://schemas.microsoft.com/office/infopath/2007/PartnerControls"/>
    </ha513d776c704f9b80334f77961eaf34>
    <f90826dbbd8f4cbb907bdae725a51e79 xmlns="abe16ac8-be90-47d0-a0f3-97169ca29ea4">
      <Terms xmlns="http://schemas.microsoft.com/office/infopath/2007/PartnerControls"/>
    </f90826dbbd8f4cbb907bdae725a51e79>
    <Overlegnaam xmlns="d80a2a05-c90e-40be-881b-96448fdb7f5d" xsi:nil="true"/>
  </documentManagement>
</p:properties>
</file>

<file path=customXml/itemProps1.xml><?xml version="1.0" encoding="utf-8"?>
<ds:datastoreItem xmlns:ds="http://schemas.openxmlformats.org/officeDocument/2006/customXml" ds:itemID="{851CD457-A735-44C8-9429-5567AB8D8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B1272-9FFB-4DA6-B3C6-D2926793D02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C045787-4597-4791-AE12-4192513A41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89FAB1-E698-498E-8EEA-59EC0FF7C5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http://purl.org/dc/elements/1.1/"/>
    <ds:schemaRef ds:uri="http://schemas.microsoft.com/office/2006/metadata/properties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POH-S</vt:lpstr>
      <vt:lpstr>rekenblad POH-s</vt:lpstr>
      <vt:lpstr>Nvko</vt:lpstr>
      <vt:lpstr>Versiebeheer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Vennema, Wim</dc:creator>
  <cp:lastModifiedBy>Bas Voost (BM)</cp:lastModifiedBy>
  <dcterms:created xsi:type="dcterms:W3CDTF">2018-10-16T08:19:06Z</dcterms:created>
  <dcterms:modified xsi:type="dcterms:W3CDTF">2022-10-05T11:55:46Z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2022-02-10T11:20:15Z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b9b9450d-eed9-4356-8d7b-a0b98c61c8bc</vt:lpwstr>
  </property>
  <property fmtid="{D5CDD505-2E9C-101B-9397-08002B2CF9AE}" pid="8" name="MSIP_Label_dc51b40b-b0d3-4674-939c-d9f10b9a3b25_ContentBits">
    <vt:lpwstr>0</vt:lpwstr>
  </property>
  <property fmtid="{D5CDD505-2E9C-101B-9397-08002B2CF9AE}" pid="9" name="ContentTypeId">
    <vt:lpwstr>0x010100ABA60FCCDED7C941AC5924233A896963009F52F9ED1A3E4645AD6ADC50F2219315</vt:lpwstr>
  </property>
  <property fmtid="{D5CDD505-2E9C-101B-9397-08002B2CF9AE}" pid="10" name="Klantgroep12">
    <vt:lpwstr>263;#Huisartsen ＆ Integrale zorg|c3f8db29-7e52-4733-b241-859ce0df1885</vt:lpwstr>
  </property>
  <property fmtid="{D5CDD505-2E9C-101B-9397-08002B2CF9AE}" pid="11" name="TaxKeyword">
    <vt:lpwstr/>
  </property>
  <property fmtid="{D5CDD505-2E9C-101B-9397-08002B2CF9AE}" pid="12" name="Zorgsoorttype">
    <vt:lpwstr/>
  </property>
  <property fmtid="{D5CDD505-2E9C-101B-9397-08002B2CF9AE}" pid="13" name="Team">
    <vt:lpwstr/>
  </property>
  <property fmtid="{D5CDD505-2E9C-101B-9397-08002B2CF9AE}" pid="14" name="Jaarcyclus">
    <vt:lpwstr/>
  </property>
  <property fmtid="{D5CDD505-2E9C-101B-9397-08002B2CF9AE}" pid="15" name="Beleidsjaar1">
    <vt:lpwstr>223;#2020|0976c861-5558-4696-8472-f9ec75f0fb40</vt:lpwstr>
  </property>
  <property fmtid="{D5CDD505-2E9C-101B-9397-08002B2CF9AE}" pid="16" name="Beleidsthema">
    <vt:lpwstr/>
  </property>
</Properties>
</file>